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75"/>
  </bookViews>
  <sheets>
    <sheet name="Berechnungen" sheetId="1" r:id="rId1"/>
  </sheets>
  <calcPr calcId="145621"/>
</workbook>
</file>

<file path=xl/calcChain.xml><?xml version="1.0" encoding="utf-8"?>
<calcChain xmlns="http://schemas.openxmlformats.org/spreadsheetml/2006/main">
  <c r="X12" i="1" l="1"/>
  <c r="X17" i="1" s="1"/>
  <c r="Y12" i="1"/>
  <c r="Y17" i="1" s="1"/>
  <c r="W12" i="1"/>
  <c r="W17" i="1" s="1"/>
  <c r="Z24" i="1"/>
  <c r="S24" i="1"/>
  <c r="S23" i="1"/>
  <c r="U13" i="1"/>
  <c r="U18" i="1" s="1"/>
  <c r="S13" i="1"/>
  <c r="S18" i="1" s="1"/>
  <c r="M13" i="1"/>
  <c r="M18" i="1" s="1"/>
  <c r="M12" i="1"/>
  <c r="M17" i="1" s="1"/>
  <c r="W10" i="1"/>
  <c r="W13" i="1" s="1"/>
  <c r="W18" i="1" s="1"/>
  <c r="X10" i="1"/>
  <c r="X13" i="1" s="1"/>
  <c r="X18" i="1" s="1"/>
  <c r="Y10" i="1"/>
  <c r="Y13" i="1" s="1"/>
  <c r="Y18" i="1" s="1"/>
  <c r="Z10" i="1"/>
  <c r="Z13" i="1" s="1"/>
  <c r="Z18" i="1" s="1"/>
  <c r="V10" i="1"/>
  <c r="V13" i="1" s="1"/>
  <c r="V18" i="1" s="1"/>
  <c r="U10" i="1"/>
  <c r="T10" i="1"/>
  <c r="S10" i="1"/>
  <c r="R10" i="1"/>
  <c r="R13" i="1" s="1"/>
  <c r="R18" i="1" s="1"/>
  <c r="Q10" i="1"/>
  <c r="Q13" i="1" s="1"/>
  <c r="Q18" i="1" s="1"/>
  <c r="P10" i="1"/>
  <c r="P13" i="1" s="1"/>
  <c r="P18" i="1" s="1"/>
  <c r="O10" i="1"/>
  <c r="N10" i="1"/>
  <c r="N13" i="1" s="1"/>
  <c r="N18" i="1" s="1"/>
  <c r="M10" i="1"/>
  <c r="T9" i="1"/>
  <c r="S9" i="1"/>
  <c r="S12" i="1" s="1"/>
  <c r="S17" i="1" s="1"/>
  <c r="R9" i="1"/>
  <c r="R12" i="1" s="1"/>
  <c r="R17" i="1" s="1"/>
  <c r="Q9" i="1"/>
  <c r="Q12" i="1" s="1"/>
  <c r="Q17" i="1" s="1"/>
  <c r="P9" i="1"/>
  <c r="P12" i="1" s="1"/>
  <c r="P17" i="1" s="1"/>
  <c r="O9" i="1"/>
  <c r="O13" i="1" s="1"/>
  <c r="O18" i="1" s="1"/>
  <c r="N9" i="1"/>
  <c r="N12" i="1" s="1"/>
  <c r="N23" i="1" s="1"/>
  <c r="M9" i="1"/>
  <c r="L9" i="1"/>
  <c r="L12" i="1" s="1"/>
  <c r="L17" i="1" s="1"/>
  <c r="U24" i="1" l="1"/>
  <c r="R24" i="1"/>
  <c r="V24" i="1"/>
  <c r="R23" i="1"/>
  <c r="H21" i="1"/>
  <c r="P24" i="1"/>
  <c r="W23" i="1"/>
  <c r="X23" i="1"/>
  <c r="Y23" i="1"/>
  <c r="Y24" i="1"/>
  <c r="Q23" i="1"/>
  <c r="Q24" i="1"/>
  <c r="M24" i="1"/>
  <c r="O24" i="1"/>
  <c r="W24" i="1"/>
  <c r="L23" i="1"/>
  <c r="M23" i="1"/>
  <c r="X24" i="1"/>
  <c r="N24" i="1"/>
  <c r="T13" i="1"/>
  <c r="P23" i="1"/>
  <c r="O12" i="1"/>
  <c r="T12" i="1" s="1"/>
  <c r="N17" i="1"/>
  <c r="T18" i="1" l="1"/>
  <c r="T24" i="1"/>
  <c r="T17" i="1"/>
  <c r="T23" i="1"/>
  <c r="O17" i="1"/>
  <c r="H20" i="1" s="1"/>
  <c r="O23" i="1"/>
  <c r="AB17" i="1" l="1"/>
  <c r="P20" i="1" s="1"/>
  <c r="AB18" i="1"/>
  <c r="X21" i="1" s="1"/>
  <c r="Q20" i="1" l="1"/>
  <c r="P21" i="1"/>
  <c r="Q21" i="1"/>
  <c r="R21" i="1"/>
  <c r="M20" i="1"/>
  <c r="Y20" i="1"/>
  <c r="R20" i="1"/>
  <c r="W21" i="1"/>
  <c r="U21" i="1"/>
  <c r="M21" i="1"/>
  <c r="Y21" i="1"/>
  <c r="L20" i="1"/>
  <c r="N20" i="1"/>
  <c r="N21" i="1"/>
  <c r="T21" i="1"/>
  <c r="Z21" i="1"/>
  <c r="T20" i="1"/>
  <c r="O21" i="1"/>
  <c r="X20" i="1"/>
  <c r="S20" i="1"/>
  <c r="S21" i="1"/>
  <c r="W20" i="1"/>
  <c r="V21" i="1"/>
  <c r="O20" i="1"/>
</calcChain>
</file>

<file path=xl/sharedStrings.xml><?xml version="1.0" encoding="utf-8"?>
<sst xmlns="http://schemas.openxmlformats.org/spreadsheetml/2006/main" count="33" uniqueCount="33">
  <si>
    <t>Spieleranzahl</t>
  </si>
  <si>
    <t>Bahnhof</t>
  </si>
  <si>
    <t>Einkaufszentrum</t>
  </si>
  <si>
    <t>Freizeitpark</t>
  </si>
  <si>
    <t>Funkturm</t>
  </si>
  <si>
    <t>Weizenfeld</t>
  </si>
  <si>
    <t>Bauernhof</t>
  </si>
  <si>
    <t>Bäckerei</t>
  </si>
  <si>
    <t>Cafe</t>
  </si>
  <si>
    <t>Mini-Market</t>
  </si>
  <si>
    <t>Wald</t>
  </si>
  <si>
    <t>Stadion</t>
  </si>
  <si>
    <t>Fernsehsender</t>
  </si>
  <si>
    <t>Bürohaus</t>
  </si>
  <si>
    <t>Molkerei</t>
  </si>
  <si>
    <t>Möbelfabrik</t>
  </si>
  <si>
    <t>Bergwerk</t>
  </si>
  <si>
    <t>Familienrestaurant</t>
  </si>
  <si>
    <t>Apfelplantage</t>
  </si>
  <si>
    <t>Markthalle</t>
  </si>
  <si>
    <t>Fremdspieler mit 2w6</t>
  </si>
  <si>
    <t>Anzahl Karten</t>
  </si>
  <si>
    <t>Summe</t>
  </si>
  <si>
    <t>Veränderung durch Zukauf bei 1w6</t>
  </si>
  <si>
    <t>Veränderung durch Zukauf bei 2w6</t>
  </si>
  <si>
    <t>Wahrscheinlichkeit 1w6</t>
  </si>
  <si>
    <t>Wahrscheinlichkeit 2w6</t>
  </si>
  <si>
    <t>1w6: Selbstertrag + Fremdertrag (generell)</t>
  </si>
  <si>
    <t>2w6: Selbstertrag + Fremdertrag (generell)</t>
  </si>
  <si>
    <t>1w6: Selbstertrag + Fremdertrag (reel)</t>
  </si>
  <si>
    <t>2w6: Selbstertrag + Fremdertrag (reel)</t>
  </si>
  <si>
    <t>Hilfsgröße 1w6 (…eine Karte mehr)</t>
  </si>
  <si>
    <t>Hilfsgröße 2w6 (…eine Karte mehr)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</si>
</sst>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textRotation="90"/>
    </xf>
    <xf numFmtId="9" fontId="0" fillId="0" borderId="0" xfId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2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C24"/>
  <sheetViews>
    <sheetView tabSelected="1" workbookViewId="0">
      <selection activeCell="D15" sqref="D15"/>
    </sheetView>
  </sheetViews>
  <sheetFormatPr baseColWidth="10" defaultRowHeight="15" x14ac:dyDescent="0.25"/>
  <cols>
    <col min="4" max="5" width="5" customWidth="1"/>
    <col min="7" max="10" width="5" customWidth="1"/>
    <col min="11" max="11" width="11.42578125" customWidth="1"/>
    <col min="12" max="26" width="5" customWidth="1"/>
    <col min="28" max="28" width="5.7109375" customWidth="1"/>
    <col min="29" max="29" width="39.140625" bestFit="1" customWidth="1"/>
  </cols>
  <sheetData>
    <row r="7" spans="4:29" ht="107.25" x14ac:dyDescent="0.25">
      <c r="D7" s="1" t="s">
        <v>0</v>
      </c>
      <c r="E7" s="1" t="s">
        <v>20</v>
      </c>
      <c r="F7" s="3"/>
      <c r="G7" s="4" t="s">
        <v>1</v>
      </c>
      <c r="H7" s="4" t="s">
        <v>2</v>
      </c>
      <c r="I7" s="4" t="s">
        <v>3</v>
      </c>
      <c r="J7" s="4" t="s">
        <v>4</v>
      </c>
      <c r="K7" s="3"/>
      <c r="L7" s="5" t="s">
        <v>5</v>
      </c>
      <c r="M7" s="5" t="s">
        <v>6</v>
      </c>
      <c r="N7" s="6" t="s">
        <v>7</v>
      </c>
      <c r="O7" s="7" t="s">
        <v>8</v>
      </c>
      <c r="P7" s="6" t="s">
        <v>9</v>
      </c>
      <c r="Q7" s="5" t="s">
        <v>10</v>
      </c>
      <c r="R7" s="8" t="s">
        <v>11</v>
      </c>
      <c r="S7" s="8" t="s">
        <v>12</v>
      </c>
      <c r="T7" s="8" t="s">
        <v>13</v>
      </c>
      <c r="U7" s="6" t="s">
        <v>14</v>
      </c>
      <c r="V7" s="6" t="s">
        <v>15</v>
      </c>
      <c r="W7" s="5" t="s">
        <v>16</v>
      </c>
      <c r="X7" s="7" t="s">
        <v>17</v>
      </c>
      <c r="Y7" s="5" t="s">
        <v>18</v>
      </c>
      <c r="Z7" s="6" t="s">
        <v>19</v>
      </c>
      <c r="AA7" s="3"/>
      <c r="AB7" s="1" t="s">
        <v>22</v>
      </c>
    </row>
    <row r="9" spans="4:29" x14ac:dyDescent="0.25">
      <c r="L9" s="2">
        <f>1/6</f>
        <v>0.16666666666666666</v>
      </c>
      <c r="M9" s="2">
        <f>1/6</f>
        <v>0.16666666666666666</v>
      </c>
      <c r="N9" s="2">
        <f>2/6</f>
        <v>0.33333333333333331</v>
      </c>
      <c r="O9" s="2">
        <f t="shared" ref="O9:T9" si="0">1/6</f>
        <v>0.16666666666666666</v>
      </c>
      <c r="P9" s="2">
        <f t="shared" si="0"/>
        <v>0.16666666666666666</v>
      </c>
      <c r="Q9" s="2">
        <f t="shared" si="0"/>
        <v>0.16666666666666666</v>
      </c>
      <c r="R9" s="2">
        <f t="shared" si="0"/>
        <v>0.16666666666666666</v>
      </c>
      <c r="S9" s="2">
        <f t="shared" si="0"/>
        <v>0.16666666666666666</v>
      </c>
      <c r="T9" s="2">
        <f t="shared" si="0"/>
        <v>0.16666666666666666</v>
      </c>
      <c r="AC9" t="s">
        <v>25</v>
      </c>
    </row>
    <row r="10" spans="4:29" x14ac:dyDescent="0.25">
      <c r="L10" s="2"/>
      <c r="M10" s="2">
        <f>1/36</f>
        <v>2.7777777777777776E-2</v>
      </c>
      <c r="N10" s="2">
        <f>(1+2)/36</f>
        <v>8.3333333333333329E-2</v>
      </c>
      <c r="O10" s="2">
        <f>2/36</f>
        <v>5.5555555555555552E-2</v>
      </c>
      <c r="P10" s="2">
        <f>3/36</f>
        <v>8.3333333333333329E-2</v>
      </c>
      <c r="Q10" s="2">
        <f>4/36</f>
        <v>0.1111111111111111</v>
      </c>
      <c r="R10" s="2">
        <f>5/36</f>
        <v>0.1388888888888889</v>
      </c>
      <c r="S10" s="2">
        <f>5/36</f>
        <v>0.1388888888888889</v>
      </c>
      <c r="T10" s="2">
        <f>5/36</f>
        <v>0.1388888888888889</v>
      </c>
      <c r="U10" s="2">
        <f>6/36</f>
        <v>0.16666666666666666</v>
      </c>
      <c r="V10" s="2">
        <f>5/36</f>
        <v>0.1388888888888889</v>
      </c>
      <c r="W10" s="2">
        <f>4/36</f>
        <v>0.1111111111111111</v>
      </c>
      <c r="X10" s="2">
        <f>(3+4)/36</f>
        <v>0.19444444444444445</v>
      </c>
      <c r="Y10" s="2">
        <f>3/36</f>
        <v>8.3333333333333329E-2</v>
      </c>
      <c r="Z10" s="2">
        <f>(1+2)/36</f>
        <v>8.3333333333333329E-2</v>
      </c>
      <c r="AC10" t="s">
        <v>26</v>
      </c>
    </row>
    <row r="12" spans="4:29" x14ac:dyDescent="0.25">
      <c r="L12">
        <f>1*L9+($D$15-1-$E$15)*L9+$E$15*L10</f>
        <v>0.33333333333333331</v>
      </c>
      <c r="M12">
        <f>1*M9+($D$15-1-$E$15)*M9+$E$15*M10</f>
        <v>0.33333333333333331</v>
      </c>
      <c r="N12">
        <f>N9*(1+H15)</f>
        <v>0.33333333333333331</v>
      </c>
      <c r="O12">
        <f>($D$15-1-$E$15)*O9*(1+H15)+$E$15*O10*(1+H15)</f>
        <v>0.16666666666666666</v>
      </c>
      <c r="P12">
        <f>(3+H15)*P9</f>
        <v>0.5</v>
      </c>
      <c r="Q12">
        <f>1*Q9+($D$15-1-$E$15)*Q9+$E$15*Q10</f>
        <v>0.33333333333333331</v>
      </c>
      <c r="R12">
        <f>(D15-1)*2*R9</f>
        <v>0.33333333333333331</v>
      </c>
      <c r="S12">
        <f>S9*5</f>
        <v>0.83333333333333326</v>
      </c>
      <c r="T12">
        <f>(MAX(L12:S12)-MIN(L12:S12))*T9</f>
        <v>0.1111111111111111</v>
      </c>
      <c r="W12">
        <f>W10*E15*5</f>
        <v>0</v>
      </c>
      <c r="X12">
        <f>X10*E15*(2+H15)</f>
        <v>0</v>
      </c>
      <c r="Y12">
        <f>Y10*E15*3</f>
        <v>0</v>
      </c>
      <c r="AB12" s="9"/>
      <c r="AC12" t="s">
        <v>27</v>
      </c>
    </row>
    <row r="13" spans="4:29" x14ac:dyDescent="0.25">
      <c r="M13">
        <f>1*M10+($D$15-1-$E$15)*M9+$E$15*M10</f>
        <v>0.19444444444444442</v>
      </c>
      <c r="N13">
        <f>N10*(1+H15)</f>
        <v>8.3333333333333329E-2</v>
      </c>
      <c r="O13">
        <f>($D$15-1-$E$15)*O9*(1+H15)+$E$15*O10*(1+H15)</f>
        <v>0.16666666666666666</v>
      </c>
      <c r="P13">
        <f>(3+H15)*P10</f>
        <v>0.25</v>
      </c>
      <c r="Q13">
        <f>1*Q10+($D$15-1-$E$15)*Q9+$E$15*Q10</f>
        <v>0.27777777777777779</v>
      </c>
      <c r="R13">
        <f>(D15-1)*2*R10</f>
        <v>0.27777777777777779</v>
      </c>
      <c r="S13">
        <f>S10*5</f>
        <v>0.69444444444444442</v>
      </c>
      <c r="T13">
        <f>(MAX(L13:S13,U13:Z13)-MIN(L13:S13,U13:Z13))*T10</f>
        <v>9.6450617283950615E-2</v>
      </c>
      <c r="U13">
        <f>3*M15*U10</f>
        <v>0</v>
      </c>
      <c r="V13">
        <f>3*(Q15+W15)*V10</f>
        <v>0</v>
      </c>
      <c r="W13">
        <f>(1+E15)*W10*5</f>
        <v>0.55555555555555558</v>
      </c>
      <c r="X13">
        <f>$E$15*X10*(2+H15)</f>
        <v>0</v>
      </c>
      <c r="Y13">
        <f>(1+E15)*3*Y10</f>
        <v>0.25</v>
      </c>
      <c r="Z13">
        <f>Z10*2*(Y15+L15)</f>
        <v>0.16666666666666666</v>
      </c>
      <c r="AB13" s="9"/>
      <c r="AC13" t="s">
        <v>28</v>
      </c>
    </row>
    <row r="15" spans="4:29" x14ac:dyDescent="0.25">
      <c r="D15" s="10">
        <v>2</v>
      </c>
      <c r="E15" s="10">
        <v>0</v>
      </c>
      <c r="G15" s="10">
        <v>0</v>
      </c>
      <c r="H15" s="10">
        <v>0</v>
      </c>
      <c r="I15" s="10">
        <v>0</v>
      </c>
      <c r="J15" s="10">
        <v>0</v>
      </c>
      <c r="L15" s="10">
        <v>1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C15" t="s">
        <v>21</v>
      </c>
    </row>
    <row r="17" spans="8:29" x14ac:dyDescent="0.25">
      <c r="L17">
        <f t="shared" ref="L17:T17" si="1">L12*L15</f>
        <v>0.33333333333333331</v>
      </c>
      <c r="M17">
        <f t="shared" si="1"/>
        <v>0</v>
      </c>
      <c r="N17">
        <f t="shared" si="1"/>
        <v>0.33333333333333331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W17">
        <f>W15*W12</f>
        <v>0</v>
      </c>
      <c r="X17">
        <f t="shared" ref="X17:Y17" si="2">X15*X12</f>
        <v>0</v>
      </c>
      <c r="Y17">
        <f t="shared" si="2"/>
        <v>0</v>
      </c>
      <c r="AB17" s="9">
        <f>SUM(L17:T17,W17:Y17)</f>
        <v>0.66666666666666663</v>
      </c>
      <c r="AC17" t="s">
        <v>29</v>
      </c>
    </row>
    <row r="18" spans="8:29" x14ac:dyDescent="0.25">
      <c r="M18">
        <f t="shared" ref="M18:Z18" si="3">M13*M15</f>
        <v>0</v>
      </c>
      <c r="N18">
        <f t="shared" si="3"/>
        <v>8.3333333333333329E-2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  <c r="Y18">
        <f t="shared" si="3"/>
        <v>0</v>
      </c>
      <c r="Z18">
        <f t="shared" si="3"/>
        <v>0</v>
      </c>
      <c r="AB18" s="9">
        <f>SUM(M18:Z18)</f>
        <v>8.3333333333333329E-2</v>
      </c>
      <c r="AC18" t="s">
        <v>30</v>
      </c>
    </row>
    <row r="20" spans="8:29" x14ac:dyDescent="0.25">
      <c r="H20">
        <f>N9*2*N15+(($D$15-1-$E$15)*O9*2+$E$15*O10*2)*O15+4*P9*P15+X15*X10*E15*3-N17-O17-P17-X17</f>
        <v>0.33333333333333331</v>
      </c>
      <c r="L20" s="9">
        <f>SUM(M17:Y17)+L23-AB17</f>
        <v>0.33333333333333337</v>
      </c>
      <c r="M20" s="9">
        <f>L17+M23+SUM(N17:Y17)-AB17</f>
        <v>0.33333333333333337</v>
      </c>
      <c r="N20" s="9">
        <f>SUM(L17:M17)+SUM(O17:Y17)+N23-AB17</f>
        <v>0.33333333333333337</v>
      </c>
      <c r="O20" s="9">
        <f>SUM($L17:$Y17)-O17+O23-AB17</f>
        <v>0.16666666666666663</v>
      </c>
      <c r="P20" s="9">
        <f>SUM($L17:$Y17)-P17+P23-AB17</f>
        <v>0.49999999999999989</v>
      </c>
      <c r="Q20" s="9">
        <f>SUM($L17:$Y17)-Q17+Q23-AB17</f>
        <v>0.33333333333333337</v>
      </c>
      <c r="R20" s="9">
        <f>SUM($L17:$Y17)-R17+R23-AB17</f>
        <v>0.33333333333333337</v>
      </c>
      <c r="S20" s="9">
        <f>SUM($L17:$Y17)-S17+S23-AB17</f>
        <v>0.83333333333333337</v>
      </c>
      <c r="T20" s="9">
        <f>SUM($L17:$Y17)-T17+T23-AB17</f>
        <v>0.11111111111111105</v>
      </c>
      <c r="W20" s="9">
        <f>SUM(L17:Y17)+W17+W23-AB17</f>
        <v>0</v>
      </c>
      <c r="X20" s="9">
        <f>SUM(L17:Y17)+X17+X23-AB17</f>
        <v>0</v>
      </c>
      <c r="Y20" s="9">
        <f>SUM(L17:Y17)+Y17+Y23-AB17</f>
        <v>0</v>
      </c>
      <c r="AC20" t="s">
        <v>23</v>
      </c>
    </row>
    <row r="21" spans="8:29" x14ac:dyDescent="0.25">
      <c r="H21">
        <f>N10*2*N15+(($D$15-1-$E$15)*O9*2+$E$15*O10*2)*O15+4*P10*P15+$E$15*X10*3*X15-N18-O18-P18-X18</f>
        <v>8.3333333333333329E-2</v>
      </c>
      <c r="M21" s="9">
        <f>SUM(M18:Z18)+M24-M18-U18-AB18</f>
        <v>0.19444444444444442</v>
      </c>
      <c r="N21" s="9">
        <f>SUM(M18:Z18)-N18+N24-AB18</f>
        <v>8.3333333333333329E-2</v>
      </c>
      <c r="O21" s="9">
        <f>SUM(M18:Z18)+O24-O18-AB18</f>
        <v>0.16666666666666669</v>
      </c>
      <c r="P21" s="9">
        <f>SUM(M18:Z18)+P24-P18-AB18</f>
        <v>0.25</v>
      </c>
      <c r="Q21" s="9">
        <f>SUM(M18:Z18)-Q18-V18+Q24-AB18</f>
        <v>0.27777777777777779</v>
      </c>
      <c r="R21" s="9">
        <f>SUM(M18:Z18)+R24-R18-AB18</f>
        <v>0.27777777777777779</v>
      </c>
      <c r="S21" s="9">
        <f>SUM(M18:Z18)+S24-S18-AB18</f>
        <v>0.69444444444444442</v>
      </c>
      <c r="T21" s="9">
        <f>SUM(M18:Z18)+T24-T18-AB18</f>
        <v>9.6450617283950615E-2</v>
      </c>
      <c r="U21" s="9">
        <f>SUM(M18:Z18)+U24-U18-AB18</f>
        <v>0</v>
      </c>
      <c r="V21" s="9">
        <f>SUM(M18:Z18)-V18+V24-AB18</f>
        <v>0</v>
      </c>
      <c r="W21" s="9">
        <f>SUM(M18:Z18)-W18-V18+W24-AB18</f>
        <v>0.55555555555555558</v>
      </c>
      <c r="X21" s="9">
        <f>SUM(M18:Z18)+X24-X18-AB18</f>
        <v>0</v>
      </c>
      <c r="Y21" s="9">
        <f>SUM(M18:Z18)-Y18+Y24-Z18-AB18</f>
        <v>0.25</v>
      </c>
      <c r="Z21" s="9">
        <f>SUM(M18:Y18)+Z24-AB18</f>
        <v>0.16666666666666669</v>
      </c>
      <c r="AC21" t="s">
        <v>24</v>
      </c>
    </row>
    <row r="23" spans="8:29" s="11" customFormat="1" x14ac:dyDescent="0.25">
      <c r="L23" s="11">
        <f>L12*IF(L15&gt;7,7,L15+1)</f>
        <v>0.66666666666666663</v>
      </c>
      <c r="M23" s="11">
        <f>M12*IF(M15&gt;6,6,M15+1)</f>
        <v>0.33333333333333331</v>
      </c>
      <c r="N23" s="11">
        <f>N12*IF(N15&gt;7,7,N15+1)</f>
        <v>0.66666666666666663</v>
      </c>
      <c r="O23" s="11">
        <f>O12*IF(O15&gt;6,6,O15+1)</f>
        <v>0.16666666666666666</v>
      </c>
      <c r="P23" s="11">
        <f>P12*IF(P15&gt;6,6,P15+1)</f>
        <v>0.5</v>
      </c>
      <c r="Q23" s="11">
        <f>Q12*IF(Q15&gt;6,6,Q15+1)</f>
        <v>0.33333333333333331</v>
      </c>
      <c r="R23" s="11">
        <f t="shared" ref="R23:T24" si="4">R12</f>
        <v>0.33333333333333331</v>
      </c>
      <c r="S23" s="11">
        <f t="shared" si="4"/>
        <v>0.83333333333333326</v>
      </c>
      <c r="T23" s="11">
        <f t="shared" si="4"/>
        <v>0.1111111111111111</v>
      </c>
      <c r="W23" s="11">
        <f>IF(W15&gt;6,6,W15+1)*W12</f>
        <v>0</v>
      </c>
      <c r="X23" s="11">
        <f>IF(X15&gt;6,6,X15+1)*X12</f>
        <v>0</v>
      </c>
      <c r="Y23" s="11">
        <f>IF(Y15&gt;6,6,Y15+1)*Y12</f>
        <v>0</v>
      </c>
      <c r="AC23" s="11" t="s">
        <v>31</v>
      </c>
    </row>
    <row r="24" spans="8:29" s="11" customFormat="1" x14ac:dyDescent="0.25">
      <c r="M24" s="11">
        <f>M13*IF(M15&gt;6,6,M15+1)+3*IF(M15&gt;6,6,M15+1)*U10*U15</f>
        <v>0.19444444444444442</v>
      </c>
      <c r="N24" s="11">
        <f>N13*IF(N15&gt;7,7,N15+1)</f>
        <v>0.16666666666666666</v>
      </c>
      <c r="O24" s="11">
        <f>O13*IF(O15&gt;6,6,O15+1)</f>
        <v>0.16666666666666666</v>
      </c>
      <c r="P24" s="11">
        <f>P13*IF(P15&gt;6,6,P15+1)</f>
        <v>0.25</v>
      </c>
      <c r="Q24" s="11">
        <f>Q13*IF(Q15&gt;6,6,Q15+1)+3*(IF(Q15&gt;6,6,Q15+1)+W15)*V10*V15</f>
        <v>0.27777777777777779</v>
      </c>
      <c r="R24" s="11">
        <f t="shared" si="4"/>
        <v>0.27777777777777779</v>
      </c>
      <c r="S24" s="11">
        <f t="shared" si="4"/>
        <v>0.69444444444444442</v>
      </c>
      <c r="T24" s="11">
        <f t="shared" si="4"/>
        <v>9.6450617283950615E-2</v>
      </c>
      <c r="U24" s="11">
        <f>U13*IF(U15&gt;6,6,U15+1)</f>
        <v>0</v>
      </c>
      <c r="V24" s="11">
        <f>V13*IF(V15&gt;6,6,V15+1)</f>
        <v>0</v>
      </c>
      <c r="W24" s="11">
        <f>W13*IF(W15&gt;6,6,W15+1)+3*(Q15+IF(W15&gt;6,6,W15+1))*V10*V15</f>
        <v>0.55555555555555558</v>
      </c>
      <c r="X24" s="11">
        <f>X13*IF(X15&gt;6,6,X15+1)</f>
        <v>0</v>
      </c>
      <c r="Y24" s="11">
        <f>Y13*IF(Y15&gt;6,6,Y15+1)+Z10*2*(IF(Y15&gt;6,6,Y15+1)+L15)*Z15</f>
        <v>0.25</v>
      </c>
      <c r="Z24" s="11">
        <f>Z13*IF(Z15&gt;6,6,Z15+1)</f>
        <v>0.16666666666666666</v>
      </c>
      <c r="AC24" s="11" t="s">
        <v>32</v>
      </c>
    </row>
  </sheetData>
  <sheetProtection sheet="1" objects="1" scenarios="1" selectLockedCells="1"/>
  <conditionalFormatting sqref="AB17:AB18">
    <cfRule type="colorScale" priority="4">
      <colorScale>
        <cfvo type="min"/>
        <cfvo type="max"/>
        <color rgb="FFC00000"/>
        <color rgb="FF00B050"/>
      </colorScale>
    </cfRule>
  </conditionalFormatting>
  <conditionalFormatting sqref="M21:Z21 H21">
    <cfRule type="colorScale" priority="2">
      <colorScale>
        <cfvo type="min"/>
        <cfvo type="percentile" val="33"/>
        <cfvo type="max"/>
        <color rgb="FFC00000"/>
        <color rgb="FFFFC000"/>
        <color rgb="FF00B050"/>
      </colorScale>
    </cfRule>
  </conditionalFormatting>
  <conditionalFormatting sqref="L20:T20 W20:Y20 H20">
    <cfRule type="colorScale" priority="1">
      <colorScale>
        <cfvo type="min"/>
        <cfvo type="percentile" val="33"/>
        <cfvo type="max"/>
        <color rgb="FFC00000"/>
        <color rgb="FFFFC000"/>
        <color rgb="FF00B050"/>
      </colorScale>
    </cfRule>
  </conditionalFormatting>
  <dataValidations count="5">
    <dataValidation type="whole" allowBlank="1" showInputMessage="1" showErrorMessage="1" sqref="D15">
      <formula1>2</formula1>
      <formula2>4</formula2>
    </dataValidation>
    <dataValidation type="whole" allowBlank="1" showInputMessage="1" showErrorMessage="1" sqref="E15">
      <formula1>1</formula1>
      <formula2>3</formula2>
    </dataValidation>
    <dataValidation type="whole" allowBlank="1" showInputMessage="1" showErrorMessage="1" sqref="G15:J15">
      <formula1>0</formula1>
      <formula2>1</formula2>
    </dataValidation>
    <dataValidation type="whole" allowBlank="1" showInputMessage="1" showErrorMessage="1" sqref="L15 N15">
      <formula1>1</formula1>
      <formula2>7</formula2>
    </dataValidation>
    <dataValidation type="whole" allowBlank="1" showInputMessage="1" showErrorMessage="1" sqref="O15:Z15 M15">
      <formula1>0</formula1>
      <formula2>6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2019-11-29T09:57:16Z</dcterms:created>
  <dcterms:modified xsi:type="dcterms:W3CDTF">2019-12-01T13:50:36Z</dcterms:modified>
</cp:coreProperties>
</file>